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9FB2F33-3D23-41FE-BF65-68D8EA996EEA}" xr6:coauthVersionLast="47" xr6:coauthVersionMax="47" xr10:uidLastSave="{00000000-0000-0000-0000-000000000000}"/>
  <bookViews>
    <workbookView xWindow="0" yWindow="144" windowWidth="23040" windowHeight="11580" tabRatio="724" xr2:uid="{00000000-000D-0000-FFFF-FFFF00000000}"/>
  </bookViews>
  <sheets>
    <sheet name="構成フォーム" sheetId="1" r:id="rId1"/>
    <sheet name="OS選択シート" sheetId="3" state="hidden" r:id="rId2"/>
    <sheet name="更新履歴" sheetId="2" r:id="rId3"/>
  </sheets>
  <externalReferences>
    <externalReference r:id="rId4"/>
  </externalReferences>
  <definedNames>
    <definedName name="core" localSheetId="1">[1]構成フォーム!$D$31</definedName>
    <definedName name="core">構成フォーム!$D$31</definedName>
    <definedName name="core_16" localSheetId="1">[1]構成フォーム!$K$33</definedName>
    <definedName name="core_16">構成フォーム!$K$34</definedName>
    <definedName name="core_adj" localSheetId="1">[1]構成フォーム!$K$30</definedName>
    <definedName name="core_adj">構成フォーム!$K$31</definedName>
    <definedName name="core_calc">構成フォーム!$K$31</definedName>
    <definedName name="CPU" localSheetId="1">[1]構成フォーム!$D$30</definedName>
    <definedName name="CPU">構成フォーム!$D$30</definedName>
    <definedName name="CPU_Core" localSheetId="1">[1]構成フォーム!$K$31</definedName>
    <definedName name="CPU_Core">構成フォーム!$K$32</definedName>
    <definedName name="CPUxCore">構成フォーム!$K$32</definedName>
    <definedName name="guest" localSheetId="1">[1]構成フォーム!$K$32</definedName>
    <definedName name="guest">構成フォーム!$K$33</definedName>
    <definedName name="_xlnm.Print_Area" localSheetId="0">構成フォーム!$A$1:$H$86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56" i="1"/>
  <c r="D66" i="1"/>
  <c r="C81" i="1" l="1"/>
  <c r="B81" i="1"/>
  <c r="C80" i="1"/>
  <c r="B80" i="1"/>
  <c r="C79" i="1"/>
  <c r="B79" i="1"/>
  <c r="C78" i="1"/>
  <c r="B78" i="1"/>
  <c r="C69" i="1"/>
  <c r="B69" i="1"/>
  <c r="C68" i="1"/>
  <c r="B68" i="1"/>
  <c r="B67" i="1"/>
  <c r="C67" i="1"/>
  <c r="C59" i="1"/>
  <c r="C58" i="1"/>
  <c r="C57" i="1"/>
  <c r="C48" i="1"/>
  <c r="C47" i="1"/>
  <c r="C46" i="1"/>
  <c r="K26" i="1"/>
  <c r="C66" i="1"/>
  <c r="B66" i="1"/>
  <c r="C56" i="1"/>
  <c r="B56" i="1"/>
  <c r="B45" i="1"/>
  <c r="C45" i="1"/>
  <c r="B58" i="1" l="1"/>
  <c r="B47" i="1"/>
  <c r="B57" i="1"/>
  <c r="B48" i="1"/>
  <c r="B59" i="1"/>
  <c r="B46" i="1"/>
  <c r="D78" i="1" l="1"/>
  <c r="K31" i="1" l="1"/>
  <c r="K32" i="1" s="1"/>
  <c r="D69" i="1" l="1"/>
  <c r="D68" i="1"/>
  <c r="D67" i="1" s="1"/>
  <c r="D81" i="1"/>
  <c r="D80" i="1"/>
  <c r="D40" i="1"/>
  <c r="K33" i="1"/>
  <c r="D39" i="1" s="1"/>
  <c r="D47" i="1" l="1"/>
  <c r="D46" i="1" s="1"/>
  <c r="D58" i="1"/>
  <c r="J37" i="1"/>
  <c r="D57" i="1"/>
  <c r="D79" i="1"/>
  <c r="K34" i="1"/>
  <c r="D48" i="1" s="1"/>
  <c r="J38" i="1" s="1"/>
  <c r="D59" i="1" l="1"/>
</calcChain>
</file>

<file path=xl/sharedStrings.xml><?xml version="1.0" encoding="utf-8"?>
<sst xmlns="http://schemas.openxmlformats.org/spreadsheetml/2006/main" count="130" uniqueCount="114">
  <si>
    <t>CPU数</t>
    <rPh sb="3" eb="4">
      <t>スウ</t>
    </rPh>
    <phoneticPr fontId="2"/>
  </si>
  <si>
    <t>型番</t>
    <rPh sb="0" eb="2">
      <t>カタバン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</si>
  <si>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</si>
  <si>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</si>
  <si>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型　番</t>
    <rPh sb="0" eb="1">
      <t>カタ</t>
    </rPh>
    <rPh sb="2" eb="3">
      <t>バン</t>
    </rPh>
    <phoneticPr fontId="2"/>
  </si>
  <si>
    <t>品　名</t>
    <rPh sb="0" eb="1">
      <t>ヒン</t>
    </rPh>
    <rPh sb="2" eb="3">
      <t>メイ</t>
    </rPh>
    <phoneticPr fontId="2"/>
  </si>
  <si>
    <t>数　量</t>
    <rPh sb="0" eb="1">
      <t>スウ</t>
    </rPh>
    <rPh sb="2" eb="3">
      <t>リョウ</t>
    </rPh>
    <phoneticPr fontId="2"/>
  </si>
  <si>
    <t>ゲストOS計算用</t>
    <rPh sb="5" eb="7">
      <t>ケイサン</t>
    </rPh>
    <rPh sb="7" eb="8">
      <t>ヨウ</t>
    </rPh>
    <phoneticPr fontId="2"/>
  </si>
  <si>
    <t>追加16core集計用</t>
    <rPh sb="0" eb="2">
      <t>ツイカ</t>
    </rPh>
    <rPh sb="8" eb="10">
      <t>シュウケイ</t>
    </rPh>
    <rPh sb="10" eb="11">
      <t>ヨウ</t>
    </rPh>
    <phoneticPr fontId="2"/>
  </si>
  <si>
    <t>1CPUあたりのコア数</t>
    <rPh sb="10" eb="11">
      <t>スウ</t>
    </rPh>
    <phoneticPr fontId="2"/>
  </si>
  <si>
    <t>CPU*Core調整</t>
    <rPh sb="8" eb="10">
      <t>チョウセイ</t>
    </rPh>
    <phoneticPr fontId="2"/>
  </si>
  <si>
    <t>※入力必須</t>
    <rPh sb="1" eb="3">
      <t>ニュウリョク</t>
    </rPh>
    <rPh sb="3" eb="5">
      <t>ヒッス</t>
    </rPh>
    <phoneticPr fontId="2"/>
  </si>
  <si>
    <t>Standard エディションで手配する場合</t>
    <rPh sb="16" eb="18">
      <t>テハイ</t>
    </rPh>
    <rPh sb="20" eb="22">
      <t>バアイ</t>
    </rPh>
    <phoneticPr fontId="2"/>
  </si>
  <si>
    <r>
      <t>Standard エディションで手配する場合(</t>
    </r>
    <r>
      <rPr>
        <b/>
        <sz val="14"/>
        <color theme="5"/>
        <rFont val="メイリオ"/>
        <family val="3"/>
        <charset val="128"/>
      </rPr>
      <t>APOS</t>
    </r>
    <r>
      <rPr>
        <b/>
        <sz val="14"/>
        <color theme="9"/>
        <rFont val="メイリオ"/>
        <family val="3"/>
        <charset val="128"/>
      </rPr>
      <t>)</t>
    </r>
    <phoneticPr fontId="2"/>
  </si>
  <si>
    <t>Datacenter エディションで手配する場合</t>
    <phoneticPr fontId="2"/>
  </si>
  <si>
    <r>
      <t>以下の</t>
    </r>
    <r>
      <rPr>
        <b/>
        <sz val="16"/>
        <color theme="5"/>
        <rFont val="メイリオ"/>
        <family val="3"/>
        <charset val="128"/>
      </rPr>
      <t>【入力項目】</t>
    </r>
    <r>
      <rPr>
        <b/>
        <sz val="16"/>
        <color theme="1" tint="0.34998626667073579"/>
        <rFont val="メイリオ"/>
        <family val="3"/>
        <charset val="128"/>
      </rPr>
      <t>に数値を記入してください。</t>
    </r>
    <rPh sb="0" eb="2">
      <t>イカ</t>
    </rPh>
    <rPh sb="4" eb="6">
      <t>ニュウリョク</t>
    </rPh>
    <rPh sb="6" eb="8">
      <t>コウモク</t>
    </rPh>
    <rPh sb="10" eb="12">
      <t>スウチ</t>
    </rPh>
    <rPh sb="13" eb="15">
      <t>キニュウ</t>
    </rPh>
    <phoneticPr fontId="2"/>
  </si>
  <si>
    <t>Windows ServerゲストOS数
(仮想化する場合）</t>
    <rPh sb="19" eb="20">
      <t>スウ</t>
    </rPh>
    <rPh sb="22" eb="25">
      <t>カソウカ</t>
    </rPh>
    <rPh sb="27" eb="29">
      <t>バアイ</t>
    </rPh>
    <phoneticPr fontId="2"/>
  </si>
  <si>
    <t>Core調整</t>
    <rPh sb="4" eb="6">
      <t>チョウセイ</t>
    </rPh>
    <phoneticPr fontId="2"/>
  </si>
  <si>
    <t>更新履歴</t>
    <rPh sb="0" eb="2">
      <t>コウシン</t>
    </rPh>
    <rPh sb="2" eb="4">
      <t>リレキ</t>
    </rPh>
    <phoneticPr fontId="2"/>
  </si>
  <si>
    <t>バージョン</t>
    <phoneticPr fontId="2"/>
  </si>
  <si>
    <t>更新内容</t>
    <rPh sb="0" eb="2">
      <t>コウシン</t>
    </rPh>
    <rPh sb="2" eb="4">
      <t>ナイヨウ</t>
    </rPh>
    <phoneticPr fontId="2"/>
  </si>
  <si>
    <t>3CPU以上の場合の表示ミスを修正</t>
    <rPh sb="4" eb="6">
      <t>イジョウ</t>
    </rPh>
    <rPh sb="7" eb="9">
      <t>バアイ</t>
    </rPh>
    <rPh sb="10" eb="12">
      <t>ヒョウジ</t>
    </rPh>
    <rPh sb="15" eb="17">
      <t>シュウセイ</t>
    </rPh>
    <phoneticPr fontId="2"/>
  </si>
  <si>
    <t>初版</t>
    <rPh sb="0" eb="2">
      <t>ショハン</t>
    </rPh>
    <phoneticPr fontId="2"/>
  </si>
  <si>
    <t>4coreと2coreの計算方法にbugがあったため修正</t>
    <rPh sb="12" eb="14">
      <t>ケイサン</t>
    </rPh>
    <rPh sb="14" eb="16">
      <t>ホウホウ</t>
    </rPh>
    <rPh sb="26" eb="28">
      <t>シュウセイ</t>
    </rPh>
    <phoneticPr fontId="2"/>
  </si>
  <si>
    <t>総数から16coreを引いた数</t>
    <rPh sb="0" eb="2">
      <t>ソウスウ</t>
    </rPh>
    <rPh sb="11" eb="12">
      <t>ヒ</t>
    </rPh>
    <rPh sb="14" eb="15">
      <t>カズ</t>
    </rPh>
    <phoneticPr fontId="2"/>
  </si>
  <si>
    <t>総数(ゲスト含む)</t>
    <rPh sb="0" eb="2">
      <t>ソウスウ</t>
    </rPh>
    <rPh sb="6" eb="7">
      <t>フク</t>
    </rPh>
    <phoneticPr fontId="2"/>
  </si>
  <si>
    <t>OS選択用シート</t>
    <rPh sb="2" eb="5">
      <t>センタクヨウ</t>
    </rPh>
    <phoneticPr fontId="2"/>
  </si>
  <si>
    <t>OS種類</t>
    <rPh sb="2" eb="4">
      <t>シュルイ</t>
    </rPh>
    <phoneticPr fontId="2"/>
  </si>
  <si>
    <t>製品名</t>
    <rPh sb="0" eb="2">
      <t>セイヒン</t>
    </rPh>
    <rPh sb="2" eb="3">
      <t>メイ</t>
    </rPh>
    <phoneticPr fontId="2"/>
  </si>
  <si>
    <t>【入力項目】①</t>
    <rPh sb="1" eb="3">
      <t>ニュウリョク</t>
    </rPh>
    <rPh sb="3" eb="5">
      <t>コウモク</t>
    </rPh>
    <phoneticPr fontId="2"/>
  </si>
  <si>
    <t>「OS」を選択してください</t>
    <rPh sb="5" eb="7">
      <t>センタク</t>
    </rPh>
    <phoneticPr fontId="2"/>
  </si>
  <si>
    <t>【入力項目】②</t>
    <rPh sb="1" eb="3">
      <t>ニュウリョク</t>
    </rPh>
    <rPh sb="3" eb="5">
      <t>コウモク</t>
    </rPh>
    <phoneticPr fontId="2"/>
  </si>
  <si>
    <t>仮想環境用セットで手配する場合</t>
    <phoneticPr fontId="2"/>
  </si>
  <si>
    <t>必要な総コアライセンス数(Datacenter)</t>
    <rPh sb="0" eb="2">
      <t>ヒツヨウ</t>
    </rPh>
    <rPh sb="3" eb="4">
      <t>ソウ</t>
    </rPh>
    <rPh sb="11" eb="12">
      <t>スウ</t>
    </rPh>
    <phoneticPr fontId="2"/>
  </si>
  <si>
    <t>必要な総コアライセンス数(Standard)</t>
    <rPh sb="0" eb="2">
      <t>ヒツヨウ</t>
    </rPh>
    <rPh sb="3" eb="4">
      <t>ソウ</t>
    </rPh>
    <rPh sb="11" eb="12">
      <t>スウ</t>
    </rPh>
    <phoneticPr fontId="2"/>
  </si>
  <si>
    <t>ダウングレード製品および仮想化セットの追加、
保守バンドル版選択の追加、総コア欄センス数の表示</t>
    <rPh sb="7" eb="9">
      <t>セイヒン</t>
    </rPh>
    <rPh sb="12" eb="15">
      <t>カソウカ</t>
    </rPh>
    <rPh sb="19" eb="21">
      <t>ツイカ</t>
    </rPh>
    <rPh sb="23" eb="25">
      <t>ホシュ</t>
    </rPh>
    <rPh sb="29" eb="30">
      <t>バン</t>
    </rPh>
    <rPh sb="30" eb="32">
      <t>センタク</t>
    </rPh>
    <rPh sb="33" eb="35">
      <t>ツイカ</t>
    </rPh>
    <rPh sb="36" eb="37">
      <t>ソウ</t>
    </rPh>
    <rPh sb="39" eb="40">
      <t>ラン</t>
    </rPh>
    <rPh sb="43" eb="44">
      <t>スウ</t>
    </rPh>
    <rPh sb="45" eb="47">
      <t>ヒョウジ</t>
    </rPh>
    <phoneticPr fontId="2"/>
  </si>
  <si>
    <t>※保守対象はOS環境(OSイメージ)1つ分のみとなります(Hyper-Vで仮想化する場合は、ホストOSのみがサポート対象で、ゲストOSのサポートは別途手配が必要です)。</t>
    <rPh sb="1" eb="3">
      <t>ホシュ</t>
    </rPh>
    <phoneticPr fontId="2"/>
  </si>
  <si>
    <t>価格/型番変更のため、内部情報を更新
月額保守料金を表示</t>
    <rPh sb="0" eb="2">
      <t>カカク</t>
    </rPh>
    <rPh sb="3" eb="5">
      <t>カタバン</t>
    </rPh>
    <rPh sb="5" eb="7">
      <t>ヘンコウ</t>
    </rPh>
    <rPh sb="11" eb="13">
      <t>ナイブ</t>
    </rPh>
    <rPh sb="13" eb="15">
      <t>ジョウホウ</t>
    </rPh>
    <rPh sb="16" eb="18">
      <t>コウシン</t>
    </rPh>
    <rPh sb="19" eb="21">
      <t>ゲツガク</t>
    </rPh>
    <rPh sb="21" eb="23">
      <t>ホシュ</t>
    </rPh>
    <rPh sb="23" eb="25">
      <t>リョウキン</t>
    </rPh>
    <rPh sb="26" eb="28">
      <t>ヒョウジ</t>
    </rPh>
    <phoneticPr fontId="2"/>
  </si>
  <si>
    <t xml:space="preserve">Windows Server 2019の型番を追加、それに伴い内部情報も一部更新
</t>
    <rPh sb="20" eb="22">
      <t>カタバン</t>
    </rPh>
    <rPh sb="23" eb="25">
      <t>ツイカ</t>
    </rPh>
    <rPh sb="29" eb="30">
      <t>トモナ</t>
    </rPh>
    <rPh sb="31" eb="33">
      <t>ナイブ</t>
    </rPh>
    <rPh sb="33" eb="35">
      <t>ジョウホウ</t>
    </rPh>
    <rPh sb="36" eb="38">
      <t>イチブ</t>
    </rPh>
    <rPh sb="38" eb="40">
      <t>コウシン</t>
    </rPh>
    <phoneticPr fontId="2"/>
  </si>
  <si>
    <t>APOS = After Point of Saleの略。本製品は導入済みサーバへの追加購入が可能。また条件(*)を満たせば他の物理サーバへのライセンス移動が可能（ただし移動先の"ベースのライセンス"は別途必要）。
(*)ライセンス割り当てから90日経過、または永続的な故障によるサーバ使用停止。</t>
    <phoneticPr fontId="2"/>
  </si>
  <si>
    <t>数量調整用(公開時は非表示)</t>
    <rPh sb="0" eb="2">
      <t>スウリョウ</t>
    </rPh>
    <rPh sb="2" eb="4">
      <t>チョウセイ</t>
    </rPh>
    <rPh sb="4" eb="5">
      <t>ヨウ</t>
    </rPh>
    <rPh sb="6" eb="8">
      <t>コウカイ</t>
    </rPh>
    <rPh sb="8" eb="9">
      <t>ジ</t>
    </rPh>
    <rPh sb="10" eb="13">
      <t>ヒヒョウジ</t>
    </rPh>
    <phoneticPr fontId="2"/>
  </si>
  <si>
    <t>WS2019仮想環境セット追加
WS2016へのダウングレード製品追加
それに伴い、内部情報を一部更新</t>
    <rPh sb="6" eb="8">
      <t>カソウ</t>
    </rPh>
    <rPh sb="8" eb="10">
      <t>カンキョウ</t>
    </rPh>
    <rPh sb="13" eb="15">
      <t>ツイカ</t>
    </rPh>
    <rPh sb="31" eb="33">
      <t>セイヒン</t>
    </rPh>
    <rPh sb="33" eb="35">
      <t>ツイカ</t>
    </rPh>
    <rPh sb="39" eb="40">
      <t>トモナ</t>
    </rPh>
    <rPh sb="42" eb="44">
      <t>ナイブ</t>
    </rPh>
    <rPh sb="44" eb="46">
      <t>ジョウホウ</t>
    </rPh>
    <rPh sb="47" eb="49">
      <t>イチブ</t>
    </rPh>
    <rPh sb="49" eb="51">
      <t>コウシン</t>
    </rPh>
    <phoneticPr fontId="2"/>
  </si>
  <si>
    <t>WS2019仮想環境セットの追加ライセンスの型番、品名を修正</t>
    <rPh sb="6" eb="8">
      <t>カソウ</t>
    </rPh>
    <rPh sb="8" eb="10">
      <t>カンキョウ</t>
    </rPh>
    <rPh sb="14" eb="16">
      <t>ツイカ</t>
    </rPh>
    <rPh sb="22" eb="24">
      <t>カタバン</t>
    </rPh>
    <rPh sb="25" eb="27">
      <t>ヒンメイ</t>
    </rPh>
    <rPh sb="28" eb="30">
      <t>シュウセイ</t>
    </rPh>
    <phoneticPr fontId="2"/>
  </si>
  <si>
    <t>J27の旧計算式：=IF(D26="Windows Server 2019",D26,IF(D26="Windows Server 2016へのダウングレード","Windows Server 2019","Windows Server 2016"))</t>
    <rPh sb="4" eb="5">
      <t>キュウ</t>
    </rPh>
    <rPh sb="5" eb="7">
      <t>ケイサン</t>
    </rPh>
    <rPh sb="7" eb="8">
      <t>シキ</t>
    </rPh>
    <phoneticPr fontId="2"/>
  </si>
  <si>
    <t>WS2016、WS2012ダウングレードを削除
WS2019からWS2012R2ダウングレード製品の追加</t>
    <rPh sb="21" eb="23">
      <t>サクジョ</t>
    </rPh>
    <rPh sb="47" eb="49">
      <t>セイヒン</t>
    </rPh>
    <rPh sb="50" eb="52">
      <t>ツイカ</t>
    </rPh>
    <phoneticPr fontId="2"/>
  </si>
  <si>
    <t>WS2012R2をリストから削除</t>
    <rPh sb="14" eb="16">
      <t>サクジョ</t>
    </rPh>
    <phoneticPr fontId="2"/>
  </si>
  <si>
    <t>仮想環境用セットについては以下のwebサイトをご覧ください</t>
    <rPh sb="0" eb="2">
      <t>カソウ</t>
    </rPh>
    <rPh sb="2" eb="5">
      <t>カンキョウヨウ</t>
    </rPh>
    <rPh sb="13" eb="15">
      <t>イカ</t>
    </rPh>
    <rPh sb="24" eb="25">
      <t>ラン</t>
    </rPh>
    <phoneticPr fontId="2"/>
  </si>
  <si>
    <t>Windows Serverのライセンスの考え方については、以下のサイトをご確認ください。</t>
    <rPh sb="21" eb="22">
      <t>カンガ</t>
    </rPh>
    <rPh sb="23" eb="24">
      <t>カタ</t>
    </rPh>
    <rPh sb="30" eb="32">
      <t>イカ</t>
    </rPh>
    <rPh sb="38" eb="40">
      <t>カクニン</t>
    </rPh>
    <phoneticPr fontId="2"/>
  </si>
  <si>
    <t>Windows Server OSのPPサポートの考え方については、以下のサイトをご覧ください。</t>
    <rPh sb="25" eb="26">
      <t>カンガ</t>
    </rPh>
    <rPh sb="27" eb="28">
      <t>カタ</t>
    </rPh>
    <rPh sb="34" eb="36">
      <t>イカ</t>
    </rPh>
    <rPh sb="42" eb="43">
      <t>ラン</t>
    </rPh>
    <phoneticPr fontId="2"/>
  </si>
  <si>
    <t>https://www.support.nec.co.jp/View.aspx?id=3030100236</t>
    <phoneticPr fontId="2"/>
  </si>
  <si>
    <t>追加ライセンス、仮想化セット用値の取得(公開時は非表示)</t>
    <rPh sb="0" eb="2">
      <t>ツイカ</t>
    </rPh>
    <rPh sb="8" eb="11">
      <t>カソウカ</t>
    </rPh>
    <rPh sb="14" eb="15">
      <t>ヨウ</t>
    </rPh>
    <rPh sb="15" eb="16">
      <t>アタイ</t>
    </rPh>
    <rPh sb="17" eb="19">
      <t>シュトク</t>
    </rPh>
    <rPh sb="20" eb="22">
      <t>コウカイ</t>
    </rPh>
    <rPh sb="22" eb="23">
      <t>ジ</t>
    </rPh>
    <rPh sb="24" eb="27">
      <t>ヒヒョウジ</t>
    </rPh>
    <phoneticPr fontId="2"/>
  </si>
  <si>
    <t>製品リストを変更しました</t>
    <rPh sb="0" eb="2">
      <t>セイヒン</t>
    </rPh>
    <rPh sb="6" eb="8">
      <t>ヘンコウ</t>
    </rPh>
    <phoneticPr fontId="2"/>
  </si>
  <si>
    <t>価格変更を更新しました</t>
    <rPh sb="0" eb="2">
      <t>カカク</t>
    </rPh>
    <rPh sb="2" eb="4">
      <t>ヘンコウ</t>
    </rPh>
    <rPh sb="5" eb="7">
      <t>コウシン</t>
    </rPh>
    <phoneticPr fontId="2"/>
  </si>
  <si>
    <t>ライセンスの考え方につきましては、シート下部案内のwebサイトをご覧ください。</t>
    <rPh sb="6" eb="7">
      <t>カンガ</t>
    </rPh>
    <rPh sb="8" eb="9">
      <t>カタ</t>
    </rPh>
    <rPh sb="20" eb="22">
      <t>カブ</t>
    </rPh>
    <rPh sb="22" eb="24">
      <t>アンナイ</t>
    </rPh>
    <rPh sb="33" eb="34">
      <t>ラン</t>
    </rPh>
    <phoneticPr fontId="2"/>
  </si>
  <si>
    <t>2.0</t>
    <phoneticPr fontId="2"/>
  </si>
  <si>
    <t>WS2019を削除、サポートバンドル製品を削除</t>
    <rPh sb="7" eb="9">
      <t>サクジョ</t>
    </rPh>
    <rPh sb="18" eb="20">
      <t>セイヒン</t>
    </rPh>
    <rPh sb="21" eb="23">
      <t>サクジョ</t>
    </rPh>
    <phoneticPr fontId="2"/>
  </si>
  <si>
    <t>WS2019ダウングレード型番を変更、他製品の保守料金を変更</t>
    <rPh sb="13" eb="15">
      <t>カタバン</t>
    </rPh>
    <rPh sb="16" eb="18">
      <t>ヘンコウ</t>
    </rPh>
    <rPh sb="19" eb="20">
      <t>ホカ</t>
    </rPh>
    <rPh sb="20" eb="22">
      <t>セイヒン</t>
    </rPh>
    <rPh sb="23" eb="25">
      <t>ホシュ</t>
    </rPh>
    <rPh sb="25" eb="27">
      <t>リョウキン</t>
    </rPh>
    <rPh sb="28" eb="30">
      <t>ヘンコウ</t>
    </rPh>
    <phoneticPr fontId="2"/>
  </si>
  <si>
    <t>WS2022の価格変更</t>
    <rPh sb="7" eb="9">
      <t>カカク</t>
    </rPh>
    <rPh sb="9" eb="11">
      <t>ヘンコウ</t>
    </rPh>
    <phoneticPr fontId="2"/>
  </si>
  <si>
    <t>本ツールは、Windows Server 2025のコア数ベースのライセンス体系に対応した、構成出力ツールです。</t>
    <rPh sb="0" eb="1">
      <t>ホン</t>
    </rPh>
    <rPh sb="28" eb="29">
      <t>スウ</t>
    </rPh>
    <rPh sb="38" eb="40">
      <t>タイケイ</t>
    </rPh>
    <rPh sb="41" eb="43">
      <t>タイオウ</t>
    </rPh>
    <rPh sb="46" eb="48">
      <t>コウセイ</t>
    </rPh>
    <rPh sb="48" eb="50">
      <t>シュツリョク</t>
    </rPh>
    <phoneticPr fontId="2"/>
  </si>
  <si>
    <t>UL1908-001</t>
    <phoneticPr fontId="2"/>
  </si>
  <si>
    <t>Windows Server 2025 Standard (16Core)</t>
    <phoneticPr fontId="2"/>
  </si>
  <si>
    <t>UL1908-002</t>
    <phoneticPr fontId="2"/>
  </si>
  <si>
    <t>Windows Server 2025 Standard 追加ライセンス(2Core)</t>
    <phoneticPr fontId="2"/>
  </si>
  <si>
    <t>UL1908-003</t>
    <phoneticPr fontId="2"/>
  </si>
  <si>
    <t>Windows Server 2025 Standard 追加ライセンス(4Core)</t>
    <phoneticPr fontId="2"/>
  </si>
  <si>
    <t>UL1908-004</t>
    <phoneticPr fontId="2"/>
  </si>
  <si>
    <t>Windows Server 2025 Standard 追加ライセンス(16Core)</t>
    <phoneticPr fontId="2"/>
  </si>
  <si>
    <t>UL1908-002A</t>
    <phoneticPr fontId="2"/>
  </si>
  <si>
    <t>Windows Server 2025 Standard 追加ライセンス(2Core)(APOS)</t>
    <phoneticPr fontId="2"/>
  </si>
  <si>
    <t>UL1908-003A</t>
    <phoneticPr fontId="2"/>
  </si>
  <si>
    <t>Windows Server 2025 Standard 追加ライセンス(4Core)(APOS)</t>
    <phoneticPr fontId="2"/>
  </si>
  <si>
    <t>UL1908-004A</t>
    <phoneticPr fontId="2"/>
  </si>
  <si>
    <t>Windows Server 2025 Standard 追加ライセンス(16Core)(APOS)</t>
    <phoneticPr fontId="2"/>
  </si>
  <si>
    <t>UL1908-011</t>
    <phoneticPr fontId="2"/>
  </si>
  <si>
    <t>Windows Server 2025 Datacenter (16Core)</t>
    <phoneticPr fontId="2"/>
  </si>
  <si>
    <t>UL1908-012</t>
    <phoneticPr fontId="2"/>
  </si>
  <si>
    <t>Windows Server 2025 Datacenter 追加ライセンス(2Core)</t>
    <phoneticPr fontId="2"/>
  </si>
  <si>
    <t>UL1908-013</t>
    <phoneticPr fontId="2"/>
  </si>
  <si>
    <t>Windows Server 2025 Datacenter 追加ライセンス(4Core)</t>
    <phoneticPr fontId="2"/>
  </si>
  <si>
    <t>UL1908-014</t>
    <phoneticPr fontId="2"/>
  </si>
  <si>
    <t>Windows Server 2025 Datacenter 追加ライセンス(16Core)</t>
    <phoneticPr fontId="2"/>
  </si>
  <si>
    <t>UL1908-01A</t>
    <phoneticPr fontId="2"/>
  </si>
  <si>
    <t>仮想環境用Windows Server 2025 セット(Datacenter(16Core))</t>
    <phoneticPr fontId="2"/>
  </si>
  <si>
    <t>UL1908-00D1</t>
    <phoneticPr fontId="2"/>
  </si>
  <si>
    <t>Windows Server 2025 Standard (16Core)(Windows Server 2022 Standard ダウングレードサービス付き)</t>
    <phoneticPr fontId="2"/>
  </si>
  <si>
    <t>UL1908-00D2</t>
  </si>
  <si>
    <t>Windows Server 2025 Standard (16Core)(Windows Server 2019 Standard ダウングレードサービス付き)</t>
  </si>
  <si>
    <t>UL1908-01D2</t>
    <phoneticPr fontId="2"/>
  </si>
  <si>
    <t>Windows Server 2025 Datacenter (16Core)(Windows Server 2019 Datacenter ダウングレードサービス付き)</t>
    <phoneticPr fontId="2"/>
  </si>
  <si>
    <t>UL1908-01D1</t>
    <phoneticPr fontId="2"/>
  </si>
  <si>
    <t>Windows Server 2025 Datacenter (16Core)(Windows Server 2022 Datacenter ダウングレードサービス付き)</t>
    <phoneticPr fontId="2"/>
  </si>
  <si>
    <t>Windows Server 2025std</t>
    <phoneticPr fontId="2"/>
  </si>
  <si>
    <t>Windows Server 2025追加ライセンス(4Core)std</t>
  </si>
  <si>
    <t>Windows Server 2025追加ライセンス(16Core)std</t>
  </si>
  <si>
    <t>Windows Server 2025追加ライセンス(2Core)(APOS)std</t>
  </si>
  <si>
    <t>Windows Server 2025追加ライセンス(4Core)(APOS)std</t>
  </si>
  <si>
    <t>Windows Server 2025追加ライセンス(16Core)(APOS)std</t>
  </si>
  <si>
    <t>Windows Server 2025追加ライセンス(2Core)dtc</t>
  </si>
  <si>
    <t>Windows Server 2025追加ライセンス(4Core)dtc</t>
  </si>
  <si>
    <t>Windows Server 2025追加ライセンス(16Core)dtc</t>
  </si>
  <si>
    <t>Windows Server 2025dtc</t>
    <phoneticPr fontId="2"/>
  </si>
  <si>
    <t>Windows Server 2025dtc-v</t>
    <phoneticPr fontId="2"/>
  </si>
  <si>
    <t>Windows Server 2025追加ライセンス(2Core)std</t>
    <phoneticPr fontId="2"/>
  </si>
  <si>
    <t>Windows Server 2025から2019へのダウングレードstd</t>
    <phoneticPr fontId="2"/>
  </si>
  <si>
    <t>Windows Server 2025から2019へのダウングレードdtc</t>
    <phoneticPr fontId="2"/>
  </si>
  <si>
    <t>Windows Server 2025から2022へのダウングレードstd</t>
    <phoneticPr fontId="2"/>
  </si>
  <si>
    <t>Windows Server 2025から2022へのダウングレードdtc</t>
    <phoneticPr fontId="2"/>
  </si>
  <si>
    <t>※元J28　現在不使用2025/1</t>
    <rPh sb="1" eb="2">
      <t>モト</t>
    </rPh>
    <rPh sb="6" eb="8">
      <t>ゲンザイ</t>
    </rPh>
    <rPh sb="8" eb="11">
      <t>フシヨウ</t>
    </rPh>
    <phoneticPr fontId="2"/>
  </si>
  <si>
    <t>Windows Server 2025</t>
    <phoneticPr fontId="2"/>
  </si>
  <si>
    <t>PP・サポートサービスの詳細は、本シート末尾のリンクをご覧ください。</t>
    <phoneticPr fontId="2"/>
  </si>
  <si>
    <t>https://jpn.nec.com/windowsserver/2025/lineup.html</t>
    <phoneticPr fontId="2"/>
  </si>
  <si>
    <t>https://jpn.nec.com/windowsserver/2025/license.html</t>
    <phoneticPr fontId="2"/>
  </si>
  <si>
    <t>WS2025用として新規作成</t>
    <rPh sb="6" eb="7">
      <t>ヨウ</t>
    </rPh>
    <rPh sb="10" eb="12">
      <t>シンキ</t>
    </rPh>
    <rPh sb="12" eb="14">
      <t>サクセイ</t>
    </rPh>
    <phoneticPr fontId="2"/>
  </si>
  <si>
    <t>Windows Server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</si>
</sst>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22" x14ac:knownFonts="1">
    <font>
      <sz val="11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b/>
      <sz val="16"/>
      <color theme="5"/>
      <name val="メイリオ"/>
      <family val="3"/>
      <charset val="128"/>
    </font>
    <font>
      <b/>
      <sz val="14"/>
      <color theme="5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b/>
      <sz val="14"/>
      <color theme="8"/>
      <name val="メイリオ"/>
      <family val="3"/>
      <charset val="128"/>
    </font>
    <font>
      <b/>
      <sz val="14"/>
      <color theme="9"/>
      <name val="メイリオ"/>
      <family val="3"/>
      <charset val="128"/>
    </font>
    <font>
      <b/>
      <sz val="16"/>
      <color theme="8"/>
      <name val="メイリオ"/>
      <family val="3"/>
      <charset val="128"/>
    </font>
    <font>
      <b/>
      <sz val="16"/>
      <color theme="1" tint="0.34998626667073579"/>
      <name val="メイリオ"/>
      <family val="3"/>
      <charset val="128"/>
    </font>
    <font>
      <b/>
      <sz val="16"/>
      <color theme="9"/>
      <name val="メイリオ"/>
      <family val="3"/>
      <charset val="128"/>
    </font>
    <font>
      <b/>
      <sz val="16"/>
      <color theme="5" tint="-0.249977111117893"/>
      <name val="メイリオ"/>
      <family val="3"/>
      <charset val="128"/>
    </font>
    <font>
      <b/>
      <sz val="14"/>
      <color theme="7" tint="-0.499984740745262"/>
      <name val="メイリオ"/>
      <family val="3"/>
      <charset val="128"/>
    </font>
    <font>
      <u/>
      <sz val="12"/>
      <color indexed="12"/>
      <name val="メイリオ"/>
      <family val="3"/>
      <charset val="128"/>
    </font>
    <font>
      <b/>
      <sz val="11"/>
      <name val="メイリオ"/>
      <family val="3"/>
      <charset val="128"/>
    </font>
    <font>
      <u/>
      <sz val="16"/>
      <color indexed="12"/>
      <name val="メイリオ"/>
      <family val="3"/>
      <charset val="128"/>
    </font>
    <font>
      <b/>
      <sz val="20"/>
      <color rgb="FFFF0000"/>
      <name val="メイリオ"/>
      <family val="3"/>
      <charset val="128"/>
    </font>
    <font>
      <b/>
      <sz val="1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2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4" xfId="0" applyFont="1" applyFill="1" applyBorder="1">
      <alignment vertical="center"/>
    </xf>
    <xf numFmtId="0" fontId="12" fillId="2" borderId="6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3" fillId="2" borderId="0" xfId="0" applyFont="1" applyFill="1" applyProtection="1">
      <alignment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Protection="1">
      <alignment vertical="center"/>
      <protection locked="0"/>
    </xf>
    <xf numFmtId="0" fontId="5" fillId="4" borderId="7" xfId="0" applyFont="1" applyFill="1" applyBorder="1" applyProtection="1">
      <alignment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176" fontId="9" fillId="4" borderId="1" xfId="0" applyNumberFormat="1" applyFont="1" applyFill="1" applyBorder="1" applyProtection="1">
      <alignment vertical="center"/>
      <protection hidden="1"/>
    </xf>
    <xf numFmtId="0" fontId="9" fillId="2" borderId="0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0" borderId="1" xfId="0" applyBorder="1">
      <alignment vertical="center"/>
    </xf>
    <xf numFmtId="2" fontId="0" fillId="0" borderId="1" xfId="0" applyNumberFormat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14" fillId="2" borderId="10" xfId="0" applyFont="1" applyFill="1" applyBorder="1" applyAlignment="1">
      <alignment vertical="center" wrapText="1"/>
    </xf>
    <xf numFmtId="0" fontId="16" fillId="2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7" borderId="0" xfId="0" applyFont="1" applyFill="1">
      <alignment vertical="center"/>
    </xf>
    <xf numFmtId="0" fontId="17" fillId="2" borderId="0" xfId="1" applyFont="1" applyFill="1" applyAlignment="1" applyProtection="1">
      <alignment vertical="center"/>
    </xf>
    <xf numFmtId="0" fontId="8" fillId="8" borderId="0" xfId="1" applyFont="1" applyFill="1" applyBorder="1" applyAlignment="1" applyProtection="1">
      <alignment vertical="center" wrapText="1"/>
      <protection hidden="1"/>
    </xf>
    <xf numFmtId="0" fontId="0" fillId="8" borderId="0" xfId="0" applyFill="1" applyBorder="1" applyAlignment="1">
      <alignment vertical="center" wrapText="1"/>
    </xf>
    <xf numFmtId="0" fontId="17" fillId="2" borderId="13" xfId="1" applyFont="1" applyFill="1" applyBorder="1" applyAlignment="1" applyProtection="1">
      <alignment wrapText="1"/>
      <protection hidden="1"/>
    </xf>
    <xf numFmtId="0" fontId="20" fillId="0" borderId="0" xfId="0" applyFont="1" applyAlignment="1">
      <alignment horizontal="left" vertical="center"/>
    </xf>
    <xf numFmtId="0" fontId="0" fillId="0" borderId="1" xfId="0" quotePrefix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2" borderId="0" xfId="1" applyFont="1" applyFill="1" applyAlignment="1" applyProtection="1">
      <alignment vertical="center"/>
    </xf>
    <xf numFmtId="0" fontId="17" fillId="2" borderId="0" xfId="1" applyFont="1" applyFill="1" applyAlignment="1" applyProtection="1">
      <alignment vertical="center"/>
    </xf>
    <xf numFmtId="0" fontId="15" fillId="2" borderId="2" xfId="0" applyFont="1" applyFill="1" applyBorder="1" applyAlignment="1" applyProtection="1">
      <alignment vertical="center" wrapText="1"/>
    </xf>
    <xf numFmtId="0" fontId="5" fillId="4" borderId="3" xfId="0" applyFont="1" applyFill="1" applyBorder="1" applyProtection="1">
      <alignment vertical="center"/>
    </xf>
    <xf numFmtId="0" fontId="5" fillId="4" borderId="12" xfId="0" applyFont="1" applyFill="1" applyBorder="1" applyProtection="1">
      <alignment vertical="center"/>
    </xf>
    <xf numFmtId="0" fontId="0" fillId="9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1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3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3" fillId="0" borderId="0" xfId="0" quotePrefix="1" applyFont="1" applyFill="1">
      <alignment vertical="center"/>
    </xf>
    <xf numFmtId="0" fontId="3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18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2" borderId="0" xfId="0" applyFont="1" applyFill="1" applyBorder="1" applyAlignment="1">
      <alignment horizontal="right" vertical="center"/>
    </xf>
    <xf numFmtId="0" fontId="17" fillId="2" borderId="0" xfId="1" applyFont="1" applyFill="1" applyBorder="1" applyAlignment="1" applyProtection="1">
      <alignment wrapText="1"/>
      <protection hidden="1"/>
    </xf>
    <xf numFmtId="0" fontId="19" fillId="2" borderId="0" xfId="1" applyFont="1" applyFill="1" applyAlignment="1" applyProtection="1">
      <alignment vertical="center"/>
    </xf>
    <xf numFmtId="0" fontId="13" fillId="2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8" fillId="8" borderId="0" xfId="1" applyFont="1" applyFill="1" applyBorder="1" applyAlignment="1" applyProtection="1">
      <alignment vertical="center" wrapText="1"/>
      <protection hidden="1"/>
    </xf>
    <xf numFmtId="0" fontId="17" fillId="2" borderId="0" xfId="1" applyFont="1" applyFill="1" applyAlignment="1" applyProtection="1">
      <alignment wrapText="1"/>
      <protection hidden="1"/>
    </xf>
    <xf numFmtId="0" fontId="5" fillId="4" borderId="10" xfId="0" applyFont="1" applyFill="1" applyBorder="1" applyProtection="1">
      <alignment vertical="center"/>
      <protection locked="0"/>
    </xf>
    <xf numFmtId="0" fontId="5" fillId="4" borderId="11" xfId="0" applyFont="1" applyFill="1" applyBorder="1" applyProtection="1">
      <alignment vertical="center"/>
      <protection locked="0"/>
    </xf>
    <xf numFmtId="0" fontId="5" fillId="4" borderId="12" xfId="0" applyFont="1" applyFill="1" applyBorder="1" applyProtection="1">
      <alignment vertical="center"/>
      <protection locked="0"/>
    </xf>
    <xf numFmtId="0" fontId="19" fillId="0" borderId="0" xfId="1" applyFont="1" applyFill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99FF"/>
      <color rgb="FF9999FF"/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142875</xdr:rowOff>
    </xdr:from>
    <xdr:to>
      <xdr:col>7</xdr:col>
      <xdr:colOff>1019175</xdr:colOff>
      <xdr:row>15</xdr:row>
      <xdr:rowOff>104775</xdr:rowOff>
    </xdr:to>
    <xdr:sp macro="" textlink="">
      <xdr:nvSpPr>
        <xdr:cNvPr id="3159" name="Text Box 8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390525" y="314325"/>
          <a:ext cx="9886950" cy="2362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2500"/>
            </a:lnSpc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Windows Server </a:t>
          </a:r>
          <a:r>
            <a:rPr lang="en-US" altLang="ja-JP" sz="2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2025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構成支援ツール　Ver</a:t>
          </a:r>
          <a:r>
            <a:rPr lang="en-US" altLang="ja-JP" sz="2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3.0</a:t>
          </a:r>
        </a:p>
        <a:p>
          <a:pPr algn="ctr" rtl="0">
            <a:lnSpc>
              <a:spcPts val="25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20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月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日</a:t>
          </a: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ＮＥＣ</a:t>
          </a:r>
        </a:p>
        <a:p>
          <a:pPr algn="ctr" rtl="0">
            <a:lnSpc>
              <a:spcPts val="1700"/>
            </a:lnSpc>
            <a:defRPr sz="1000"/>
          </a:pPr>
          <a:r>
            <a:rPr lang="ja-JP" altLang="en-US" sz="14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クラウド・マネージドサービス事業部門</a:t>
          </a:r>
          <a:br>
            <a:rPr lang="en-US" altLang="ja-JP" sz="14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</a:br>
          <a:r>
            <a:rPr lang="en-US" altLang="ja-JP" sz="1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Windows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Server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担当</a:t>
          </a:r>
          <a:endParaRPr lang="ja-JP" altLang="en-US" sz="11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1949825</xdr:colOff>
      <xdr:row>33</xdr:row>
      <xdr:rowOff>44823</xdr:rowOff>
    </xdr:from>
    <xdr:to>
      <xdr:col>2</xdr:col>
      <xdr:colOff>3137648</xdr:colOff>
      <xdr:row>36</xdr:row>
      <xdr:rowOff>134471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12560" y="8583705"/>
          <a:ext cx="1187823" cy="963707"/>
        </a:xfrm>
        <a:prstGeom prst="downArrow">
          <a:avLst>
            <a:gd name="adj1" fmla="val 50000"/>
            <a:gd name="adj2" fmla="val 64894"/>
          </a:avLst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s2016_license_ver1.1B_&#32232;&#38598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構成フォーム"/>
      <sheetName val="OS選択シート"/>
      <sheetName val="更新履歴"/>
    </sheetNames>
    <sheetDataSet>
      <sheetData sheetId="0">
        <row r="30">
          <cell r="D30">
            <v>4</v>
          </cell>
          <cell r="K30">
            <v>12</v>
          </cell>
        </row>
        <row r="31">
          <cell r="D31">
            <v>12</v>
          </cell>
          <cell r="K31">
            <v>48</v>
          </cell>
        </row>
        <row r="32">
          <cell r="K32">
            <v>4</v>
          </cell>
        </row>
        <row r="33">
          <cell r="K33">
            <v>11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pn.nec.com/windowsserver/2025/license.html" TargetMode="External"/><Relationship Id="rId2" Type="http://schemas.openxmlformats.org/officeDocument/2006/relationships/hyperlink" Target="https://jpn.nec.com/windowsserver/2025/lineup.html" TargetMode="External"/><Relationship Id="rId1" Type="http://schemas.openxmlformats.org/officeDocument/2006/relationships/hyperlink" Target="https://jpn.nec.com/windowsserver/2025/lineup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upport.nec.co.jp/View.aspx?id=303010023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B1:L90"/>
  <sheetViews>
    <sheetView showGridLines="0" tabSelected="1" zoomScale="70" zoomScaleNormal="70" zoomScaleSheetLayoutView="75" workbookViewId="0">
      <selection activeCell="M11" sqref="M11"/>
    </sheetView>
  </sheetViews>
  <sheetFormatPr defaultColWidth="9" defaultRowHeight="17.399999999999999" x14ac:dyDescent="0.2"/>
  <cols>
    <col min="1" max="1" width="2.88671875" style="1" customWidth="1"/>
    <col min="2" max="2" width="25.44140625" style="1" customWidth="1"/>
    <col min="3" max="3" width="63" style="1" customWidth="1"/>
    <col min="4" max="4" width="11" style="1" customWidth="1"/>
    <col min="5" max="5" width="22.88671875" style="1" customWidth="1"/>
    <col min="6" max="6" width="40" style="1" customWidth="1"/>
    <col min="7" max="7" width="35.6640625" style="1" customWidth="1"/>
    <col min="8" max="8" width="26.6640625" style="52" customWidth="1"/>
    <col min="9" max="9" width="6.21875" style="52" customWidth="1"/>
    <col min="10" max="10" width="19.109375" style="52" hidden="1" customWidth="1"/>
    <col min="11" max="11" width="15.6640625" style="52" hidden="1" customWidth="1"/>
    <col min="12" max="12" width="21.33203125" style="1" hidden="1" customWidth="1"/>
    <col min="13" max="13" width="23" style="1" customWidth="1"/>
    <col min="14" max="14" width="6.88671875" style="1" customWidth="1"/>
    <col min="15" max="15" width="4.109375" style="1" customWidth="1"/>
    <col min="16" max="19" width="2.77734375" style="1" customWidth="1"/>
    <col min="20" max="20" width="7.21875" style="1" customWidth="1"/>
    <col min="21" max="24" width="2.77734375" style="1" customWidth="1"/>
    <col min="25" max="25" width="5.21875" style="1" customWidth="1"/>
    <col min="26" max="27" width="2.77734375" style="1" customWidth="1"/>
    <col min="28" max="28" width="4.33203125" style="1" customWidth="1"/>
    <col min="29" max="31" width="2.77734375" style="1" customWidth="1"/>
    <col min="32" max="32" width="10.33203125" style="1" customWidth="1"/>
    <col min="33" max="33" width="2.77734375" style="1" customWidth="1"/>
    <col min="34" max="34" width="3.88671875" style="1" customWidth="1"/>
    <col min="35" max="35" width="5.109375" style="1" customWidth="1"/>
    <col min="36" max="36" width="9.88671875" style="1" customWidth="1"/>
    <col min="37" max="38" width="2.77734375" style="1" customWidth="1"/>
    <col min="39" max="39" width="6.88671875" style="1" customWidth="1"/>
    <col min="40" max="42" width="2.77734375" style="1" customWidth="1"/>
    <col min="43" max="43" width="8.88671875" style="1" customWidth="1"/>
    <col min="44" max="44" width="22.6640625" style="1" customWidth="1"/>
    <col min="45" max="47" width="2.77734375" style="1" customWidth="1"/>
    <col min="48" max="16384" width="9" style="1"/>
  </cols>
  <sheetData>
    <row r="1" spans="2:2" ht="31.8" x14ac:dyDescent="0.2">
      <c r="B1" s="38"/>
    </row>
    <row r="18" spans="2:12" ht="47.25" customHeight="1" x14ac:dyDescent="0.2">
      <c r="B18" s="67" t="s">
        <v>58</v>
      </c>
      <c r="C18" s="67"/>
      <c r="D18" s="67"/>
      <c r="E18" s="67"/>
      <c r="F18" s="67"/>
      <c r="G18" s="67"/>
    </row>
    <row r="19" spans="2:12" ht="26.4" x14ac:dyDescent="0.2">
      <c r="B19" s="75" t="s">
        <v>53</v>
      </c>
      <c r="C19" s="75"/>
      <c r="D19" s="75"/>
      <c r="E19" s="75"/>
      <c r="F19" s="75"/>
      <c r="G19" s="75"/>
      <c r="H19" s="75"/>
    </row>
    <row r="20" spans="2:12" ht="26.4" x14ac:dyDescent="0.2">
      <c r="B20" s="66"/>
      <c r="C20" s="66"/>
      <c r="D20" s="66"/>
      <c r="E20" s="66"/>
      <c r="F20" s="66"/>
      <c r="G20" s="66"/>
      <c r="H20" s="66"/>
    </row>
    <row r="21" spans="2:12" ht="26.4" x14ac:dyDescent="0.2">
      <c r="B21" s="66"/>
      <c r="C21" s="66"/>
      <c r="D21" s="66"/>
      <c r="E21" s="66"/>
      <c r="F21" s="66"/>
      <c r="G21" s="66"/>
      <c r="H21" s="66"/>
    </row>
    <row r="23" spans="2:12" ht="26.4" x14ac:dyDescent="0.2">
      <c r="C23" s="24" t="s">
        <v>15</v>
      </c>
    </row>
    <row r="26" spans="2:12" ht="27" thickBot="1" x14ac:dyDescent="0.25">
      <c r="C26" s="7" t="s">
        <v>29</v>
      </c>
      <c r="D26" s="7"/>
      <c r="K26" s="52" t="str">
        <f>IF(LEFT(D27,19) = "Windows Server 2019","Windows Server 2019","Windows Server 2022")</f>
        <v>Windows Server 2022</v>
      </c>
      <c r="L26" s="33" t="s">
        <v>107</v>
      </c>
    </row>
    <row r="27" spans="2:12" ht="33.75" customHeight="1" thickBot="1" x14ac:dyDescent="0.25">
      <c r="C27" s="28" t="s">
        <v>30</v>
      </c>
      <c r="D27" s="72" t="s">
        <v>113</v>
      </c>
      <c r="E27" s="73"/>
      <c r="F27" s="73"/>
      <c r="G27" s="74"/>
      <c r="H27" s="53" t="s">
        <v>11</v>
      </c>
      <c r="J27" s="54" t="s">
        <v>50</v>
      </c>
    </row>
    <row r="28" spans="2:12" ht="34.200000000000003" customHeight="1" x14ac:dyDescent="0.2">
      <c r="D28" s="7"/>
      <c r="J28" s="52" t="s">
        <v>108</v>
      </c>
    </row>
    <row r="29" spans="2:12" ht="27" thickBot="1" x14ac:dyDescent="0.25">
      <c r="C29" s="7" t="s">
        <v>31</v>
      </c>
      <c r="J29" s="55" t="s">
        <v>43</v>
      </c>
    </row>
    <row r="30" spans="2:12" ht="26.4" x14ac:dyDescent="0.2">
      <c r="C30" s="14" t="s">
        <v>0</v>
      </c>
      <c r="D30" s="19">
        <v>1</v>
      </c>
      <c r="E30" s="23" t="s">
        <v>11</v>
      </c>
      <c r="F30" s="5"/>
      <c r="G30" s="2"/>
      <c r="J30" s="54" t="s">
        <v>40</v>
      </c>
    </row>
    <row r="31" spans="2:12" ht="48.9" customHeight="1" x14ac:dyDescent="0.2">
      <c r="C31" s="15" t="s">
        <v>9</v>
      </c>
      <c r="D31" s="20">
        <v>4</v>
      </c>
      <c r="E31" s="23" t="s">
        <v>11</v>
      </c>
      <c r="J31" s="56" t="s">
        <v>17</v>
      </c>
      <c r="K31" s="57">
        <f>IF(CPU&gt;=3,IF(core&lt;8,8,core),core)</f>
        <v>4</v>
      </c>
    </row>
    <row r="32" spans="2:12" ht="48.9" customHeight="1" thickBot="1" x14ac:dyDescent="0.25">
      <c r="C32" s="16" t="s">
        <v>16</v>
      </c>
      <c r="D32" s="21">
        <v>1</v>
      </c>
      <c r="E32" s="2"/>
      <c r="J32" s="56" t="s">
        <v>10</v>
      </c>
      <c r="K32" s="57">
        <f>IF(CPU*core_adj&lt;16,16,CPU*core_adj)</f>
        <v>16</v>
      </c>
    </row>
    <row r="33" spans="2:11" ht="48.9" customHeight="1" x14ac:dyDescent="0.2">
      <c r="C33" s="3"/>
      <c r="D33" s="4"/>
      <c r="E33" s="4"/>
      <c r="J33" s="58" t="s">
        <v>7</v>
      </c>
      <c r="K33" s="59">
        <f>IF(D32=0,1,ROUNDUP((D32/2),0))</f>
        <v>1</v>
      </c>
    </row>
    <row r="34" spans="2:11" ht="21.6" x14ac:dyDescent="0.2">
      <c r="C34" s="4"/>
      <c r="D34" s="4"/>
      <c r="E34" s="4"/>
      <c r="F34" s="5"/>
      <c r="G34" s="6"/>
      <c r="J34" s="56" t="s">
        <v>8</v>
      </c>
      <c r="K34" s="60">
        <f>IF(ROUNDDOWN((CPU_Core*guest)/16,0)&gt;=1,ROUNDDOWN((CPU_Core*guest)/16,0)-1,0)</f>
        <v>0</v>
      </c>
    </row>
    <row r="35" spans="2:11" ht="21.6" x14ac:dyDescent="0.2">
      <c r="C35" s="4"/>
      <c r="D35" s="4"/>
      <c r="E35" s="4"/>
      <c r="F35" s="5"/>
      <c r="G35" s="6"/>
    </row>
    <row r="36" spans="2:11" ht="21.6" x14ac:dyDescent="0.2">
      <c r="C36" s="4"/>
      <c r="D36" s="4"/>
      <c r="E36" s="4"/>
      <c r="F36" s="5"/>
      <c r="G36" s="6"/>
      <c r="J36" s="54" t="s">
        <v>40</v>
      </c>
    </row>
    <row r="37" spans="2:11" ht="21.6" x14ac:dyDescent="0.2">
      <c r="C37" s="4"/>
      <c r="D37" s="4"/>
      <c r="E37" s="4"/>
      <c r="F37" s="5"/>
      <c r="G37" s="6"/>
      <c r="J37" s="52">
        <f>CPU_Core*guest</f>
        <v>16</v>
      </c>
      <c r="K37" s="52" t="s">
        <v>25</v>
      </c>
    </row>
    <row r="38" spans="2:11" ht="18" thickBot="1" x14ac:dyDescent="0.25">
      <c r="J38" s="52">
        <f>CPU_Core*guest-(D45+D48)*16</f>
        <v>0</v>
      </c>
      <c r="K38" s="52" t="s">
        <v>24</v>
      </c>
    </row>
    <row r="39" spans="2:11" ht="27" thickBot="1" x14ac:dyDescent="0.25">
      <c r="C39" s="44" t="s">
        <v>34</v>
      </c>
      <c r="D39" s="45">
        <f>CPU_Core*guest</f>
        <v>16</v>
      </c>
      <c r="E39" s="4"/>
      <c r="F39" s="5"/>
      <c r="G39" s="6"/>
    </row>
    <row r="40" spans="2:11" ht="27" thickBot="1" x14ac:dyDescent="0.25">
      <c r="C40" s="44" t="s">
        <v>33</v>
      </c>
      <c r="D40" s="46">
        <f>CPU_Core</f>
        <v>16</v>
      </c>
      <c r="E40" s="4"/>
      <c r="F40" s="5"/>
      <c r="G40" s="6"/>
    </row>
    <row r="41" spans="2:11" ht="21.6" x14ac:dyDescent="0.2">
      <c r="C41" s="4"/>
      <c r="D41" s="4"/>
      <c r="E41" s="4"/>
      <c r="F41" s="5"/>
      <c r="G41" s="6"/>
    </row>
    <row r="43" spans="2:11" ht="21.6" x14ac:dyDescent="0.2">
      <c r="B43" s="13" t="s">
        <v>12</v>
      </c>
      <c r="C43" s="8"/>
      <c r="D43" s="8"/>
      <c r="G43" s="52"/>
    </row>
    <row r="44" spans="2:11" ht="19.2" x14ac:dyDescent="0.2">
      <c r="B44" s="10" t="s">
        <v>4</v>
      </c>
      <c r="C44" s="10" t="s">
        <v>5</v>
      </c>
      <c r="D44" s="10" t="s">
        <v>6</v>
      </c>
      <c r="G44" s="62"/>
    </row>
    <row r="45" spans="2:11" ht="37.200000000000003" customHeight="1" x14ac:dyDescent="0.2">
      <c r="B45" s="9" t="str">
        <f>VLOOKUP(D27&amp;"std",OS選択シート!C:E,2,FALSE)</f>
        <v>UL1908-001</v>
      </c>
      <c r="C45" s="11" t="str">
        <f>VLOOKUP(D27&amp;"std",OS選択シート!C:E,3,FALSE)</f>
        <v>Windows Server 2025 Standard (16Core)</v>
      </c>
      <c r="D45" s="22">
        <f>IF(CPU&gt;=1,1,0)</f>
        <v>1</v>
      </c>
      <c r="G45" s="63"/>
    </row>
    <row r="46" spans="2:11" ht="59.25" customHeight="1" x14ac:dyDescent="0.2">
      <c r="B46" s="9" t="str">
        <f>VLOOKUP(J28&amp;"追加ライセンス(2core)std",OS選択シート!C:E,2,FALSE)</f>
        <v>UL1908-002</v>
      </c>
      <c r="C46" s="11" t="str">
        <f>VLOOKUP(J28&amp;"追加ライセンス(2core)std",OS選択シート!C:E,3,FALSE)</f>
        <v>Windows Server 2025 Standard 追加ライセンス(2Core)</v>
      </c>
      <c r="D46" s="22">
        <f>IF(CPU_Core*guest&gt;16,
IF(MOD(CPU_Core*guest,16)-(D47*4)&lt;=2,
IF(MOD(CPU_Core*guest,16)-(D47*4)&gt;=1,1,0),0),0)</f>
        <v>0</v>
      </c>
      <c r="G46" s="63"/>
    </row>
    <row r="47" spans="2:11" ht="39.9" customHeight="1" x14ac:dyDescent="0.2">
      <c r="B47" s="9" t="str">
        <f>VLOOKUP(J28&amp;"追加ライセンス(4core)std",OS選択シート!C:E,2,FALSE)</f>
        <v>UL1908-003</v>
      </c>
      <c r="C47" s="11" t="str">
        <f>VLOOKUP(J28&amp;"追加ライセンス(4core)std",OS選択シート!C:E,3,FALSE)</f>
        <v>Windows Server 2025 Standard 追加ライセンス(4Core)</v>
      </c>
      <c r="D47" s="22">
        <f>IF(CPU_Core*guest&gt;16,IF(MOD(CPU_Core*guest,16)&lt;=14,
IF(MOD(CPU_Core*guest,4)&gt;=3,
ROUNDUP(MOD(CPU_Core*guest,16)/4,0),
ROUNDDOWN(MOD(CPU_Core*guest,16)/4,0)),0),0)</f>
        <v>0</v>
      </c>
      <c r="G47" s="63"/>
    </row>
    <row r="48" spans="2:11" ht="39.9" customHeight="1" x14ac:dyDescent="0.2">
      <c r="B48" s="9" t="str">
        <f>VLOOKUP(J28&amp;"追加ライセンス(16core)std",OS選択シート!C:E,2,FALSE)</f>
        <v>UL1908-004</v>
      </c>
      <c r="C48" s="11" t="str">
        <f>VLOOKUP(J28&amp;"追加ライセンス(16core)std",OS選択シート!C:E,3,FALSE)</f>
        <v>Windows Server 2025 Standard 追加ライセンス(16Core)</v>
      </c>
      <c r="D48" s="22">
        <f>core_16+IF(MOD(CPU_Core*guest,16)&gt;=15,1,0)</f>
        <v>0</v>
      </c>
      <c r="G48" s="63"/>
    </row>
    <row r="49" spans="2:7" ht="39.9" customHeight="1" x14ac:dyDescent="0.2">
      <c r="B49" s="1" t="s">
        <v>36</v>
      </c>
      <c r="D49" s="17"/>
      <c r="E49" s="17"/>
      <c r="F49" s="17"/>
      <c r="G49" s="5"/>
    </row>
    <row r="50" spans="2:7" x14ac:dyDescent="0.2">
      <c r="B50" s="1" t="s">
        <v>109</v>
      </c>
      <c r="D50" s="17"/>
      <c r="E50" s="17"/>
      <c r="F50" s="17"/>
      <c r="G50" s="5"/>
    </row>
    <row r="51" spans="2:7" x14ac:dyDescent="0.2">
      <c r="D51" s="17"/>
      <c r="G51" s="5"/>
    </row>
    <row r="52" spans="2:7" x14ac:dyDescent="0.2">
      <c r="D52" s="17"/>
      <c r="E52" s="17"/>
      <c r="F52" s="17"/>
      <c r="G52" s="5"/>
    </row>
    <row r="53" spans="2:7" ht="61.8" customHeight="1" x14ac:dyDescent="0.2">
      <c r="B53" s="13" t="s">
        <v>13</v>
      </c>
      <c r="C53" s="8"/>
      <c r="D53" s="70" t="s">
        <v>39</v>
      </c>
      <c r="E53" s="70"/>
      <c r="F53" s="70"/>
      <c r="G53" s="70"/>
    </row>
    <row r="54" spans="2:7" ht="11.4" customHeight="1" x14ac:dyDescent="0.2">
      <c r="B54" s="13"/>
      <c r="C54" s="8"/>
      <c r="D54" s="35"/>
      <c r="E54" s="32"/>
      <c r="G54" s="63"/>
    </row>
    <row r="55" spans="2:7" ht="19.2" x14ac:dyDescent="0.2">
      <c r="B55" s="10" t="s">
        <v>1</v>
      </c>
      <c r="C55" s="10" t="s">
        <v>2</v>
      </c>
      <c r="D55" s="18" t="s">
        <v>3</v>
      </c>
      <c r="E55" s="5"/>
      <c r="G55" s="63"/>
    </row>
    <row r="56" spans="2:7" ht="46.8" customHeight="1" x14ac:dyDescent="0.2">
      <c r="B56" s="9" t="str">
        <f>VLOOKUP(D27&amp;"std",OS選択シート!C:E,2,FALSE)</f>
        <v>UL1908-001</v>
      </c>
      <c r="C56" s="11" t="str">
        <f>VLOOKUP(D27&amp;"std",OS選択シート!C:E,3,FALSE)</f>
        <v>Windows Server 2025 Standard (16Core)</v>
      </c>
      <c r="D56" s="22">
        <f>IF(CPU&gt;=1,1,0)</f>
        <v>1</v>
      </c>
      <c r="G56" s="63"/>
    </row>
    <row r="57" spans="2:7" ht="59.25" customHeight="1" x14ac:dyDescent="0.2">
      <c r="B57" s="9" t="str">
        <f>VLOOKUP(J28&amp;"追加ライセンス(2core)(APOS)std",OS選択シート!C:E,2,FALSE)</f>
        <v>UL1908-002A</v>
      </c>
      <c r="C57" s="11" t="str">
        <f>VLOOKUP(J28&amp;"追加ライセンス(2core)(APOS)std",OS選択シート!C:E,3,FALSE)</f>
        <v>Windows Server 2025 Standard 追加ライセンス(2Core)(APOS)</v>
      </c>
      <c r="D57" s="22">
        <f>IF(CPU_Core*guest&gt;16,
IF(MOD(CPU_Core*guest,16)-(D58*4)&lt;=2,
IF(MOD(CPU_Core*guest,16)-(D58*4)&gt;=1,1,0),0),0)</f>
        <v>0</v>
      </c>
      <c r="G57" s="63"/>
    </row>
    <row r="58" spans="2:7" ht="39.9" customHeight="1" x14ac:dyDescent="0.2">
      <c r="B58" s="9" t="str">
        <f>VLOOKUP(J28&amp;"追加ライセンス(4core)(APOS)std",OS選択シート!C:E,2,FALSE)</f>
        <v>UL1908-003A</v>
      </c>
      <c r="C58" s="11" t="str">
        <f>VLOOKUP(J28&amp;"追加ライセンス(4core)(APOS)std",OS選択シート!C:E,3,FALSE)</f>
        <v>Windows Server 2025 Standard 追加ライセンス(4Core)(APOS)</v>
      </c>
      <c r="D58" s="22">
        <f>IF(CPU_Core*guest&gt;16,IF(MOD(CPU_Core*guest,16)&lt;=14,
IF(MOD(CPU_Core*guest,4)&gt;=3,
ROUNDUP(MOD(CPU_Core*guest,16)/4,0),
ROUNDDOWN(MOD(CPU_Core*guest,16)/4,0)),0),0)</f>
        <v>0</v>
      </c>
      <c r="G58" s="63"/>
    </row>
    <row r="59" spans="2:7" ht="39.9" customHeight="1" x14ac:dyDescent="0.2">
      <c r="B59" s="9" t="str">
        <f>VLOOKUP(J28&amp;"追加ライセンス(16core)(APOS)std",OS選択シート!C:E,2,FALSE)</f>
        <v>UL1908-004A</v>
      </c>
      <c r="C59" s="11" t="str">
        <f>VLOOKUP(J28&amp;"追加ライセンス(16core)(APOS)std",OS選択シート!C:E,3,FALSE)</f>
        <v>Windows Server 2025 Standard 追加ライセンス(16Core)(APOS)</v>
      </c>
      <c r="D59" s="22">
        <f>core_16+IF(MOD(CPU_Core*guest,16)&gt;=15,1,0)</f>
        <v>0</v>
      </c>
      <c r="G59" s="63"/>
    </row>
    <row r="60" spans="2:7" ht="39.9" customHeight="1" x14ac:dyDescent="0.2">
      <c r="B60" s="1" t="s">
        <v>36</v>
      </c>
      <c r="D60" s="17"/>
      <c r="E60" s="17"/>
      <c r="F60" s="17"/>
      <c r="G60" s="5"/>
    </row>
    <row r="61" spans="2:7" x14ac:dyDescent="0.2">
      <c r="B61" s="1" t="s">
        <v>109</v>
      </c>
      <c r="D61" s="17"/>
      <c r="E61" s="17"/>
      <c r="F61" s="17"/>
      <c r="G61" s="5"/>
    </row>
    <row r="62" spans="2:7" x14ac:dyDescent="0.2">
      <c r="D62" s="17"/>
      <c r="G62" s="5"/>
    </row>
    <row r="63" spans="2:7" x14ac:dyDescent="0.2">
      <c r="D63" s="17"/>
      <c r="E63" s="17"/>
      <c r="F63" s="17"/>
      <c r="G63" s="5"/>
    </row>
    <row r="64" spans="2:7" ht="21.6" x14ac:dyDescent="0.2">
      <c r="B64" s="12" t="s">
        <v>14</v>
      </c>
      <c r="C64" s="8"/>
      <c r="D64" s="35"/>
      <c r="E64" s="36"/>
      <c r="F64" s="36"/>
      <c r="G64" s="64"/>
    </row>
    <row r="65" spans="2:7" ht="28.2" customHeight="1" x14ac:dyDescent="0.2">
      <c r="B65" s="10" t="s">
        <v>1</v>
      </c>
      <c r="C65" s="10" t="s">
        <v>2</v>
      </c>
      <c r="D65" s="18" t="s">
        <v>3</v>
      </c>
      <c r="G65" s="63"/>
    </row>
    <row r="66" spans="2:7" ht="45" customHeight="1" x14ac:dyDescent="0.2">
      <c r="B66" s="9" t="str">
        <f>VLOOKUP(D27&amp;"dtc",OS選択シート!C:E,2,FALSE)</f>
        <v>UL1908-011</v>
      </c>
      <c r="C66" s="11" t="str">
        <f>VLOOKUP(D27&amp;"dtc",OS選択シート!C:E,3,FALSE)</f>
        <v>Windows Server 2025 Datacenter (16Core)</v>
      </c>
      <c r="D66" s="22">
        <f>IF(CPU&gt;=1,1,0)</f>
        <v>1</v>
      </c>
      <c r="G66" s="63"/>
    </row>
    <row r="67" spans="2:7" ht="56.25" customHeight="1" x14ac:dyDescent="0.2">
      <c r="B67" s="9" t="str">
        <f>VLOOKUP(J28&amp;"追加ライセンス(2core)dtc",OS選択シート!C:E,2,FALSE)</f>
        <v>UL1908-012</v>
      </c>
      <c r="C67" s="11" t="str">
        <f>VLOOKUP(J28&amp;"追加ライセンス(2core)dtc",OS選択シート!C:E,3,FALSE)</f>
        <v>Windows Server 2025 Datacenter 追加ライセンス(2Core)</v>
      </c>
      <c r="D67" s="22">
        <f>IF(CPU_Core&gt;16,
IF(MOD(CPU_Core,16)-(D68*4)&lt;=2,
IF(MOD(CPU_Core,16)-(D68*4)&gt;=1,1,0),0),0)</f>
        <v>0</v>
      </c>
      <c r="G67" s="63"/>
    </row>
    <row r="68" spans="2:7" ht="39.9" customHeight="1" x14ac:dyDescent="0.2">
      <c r="B68" s="9" t="str">
        <f>VLOOKUP(J28&amp;"追加ライセンス(4core)dtc",OS選択シート!C:E,2,FALSE)</f>
        <v>UL1908-013</v>
      </c>
      <c r="C68" s="11" t="str">
        <f>VLOOKUP(J28&amp;"追加ライセンス(4core)dtc",OS選択シート!C:E,3,FALSE)</f>
        <v>Windows Server 2025 Datacenter 追加ライセンス(4Core)</v>
      </c>
      <c r="D68" s="22">
        <f>IF(CPU_Core&gt;16,IF(MOD(CPU_Core,16)&lt;=14,
IF(MOD(CPU_Core,4)&gt;=3,
ROUNDUP(MOD(CPU_Core,16)/4,0),
ROUNDDOWN(MOD(CPU_Core,16)/4,0)),0),0)</f>
        <v>0</v>
      </c>
      <c r="G68" s="63"/>
    </row>
    <row r="69" spans="2:7" ht="39.9" customHeight="1" x14ac:dyDescent="0.2">
      <c r="B69" s="9" t="str">
        <f>VLOOKUP(J28&amp;"追加ライセンス(16core)dtc",OS選択シート!C:E,2,FALSE)</f>
        <v>UL1908-014</v>
      </c>
      <c r="C69" s="11" t="str">
        <f>VLOOKUP(J28&amp;"追加ライセンス(16core)dtc",OS選択シート!C:E,3,FALSE)</f>
        <v>Windows Server 2025 Datacenter 追加ライセンス(16Core)</v>
      </c>
      <c r="D69" s="22">
        <f>IF((ROUNDDOWN((CPU_Core)/16,0)-1)&gt;=1,(ROUNDDOWN((CPU_Core)/16,0)-1),0)+IF(MOD(CPU_Core,16)&gt;=15,1,0)</f>
        <v>0</v>
      </c>
      <c r="G69" s="63"/>
    </row>
    <row r="70" spans="2:7" ht="39.9" customHeight="1" x14ac:dyDescent="0.2">
      <c r="B70" s="1" t="s">
        <v>36</v>
      </c>
      <c r="D70" s="17"/>
      <c r="E70" s="17"/>
      <c r="F70" s="17"/>
      <c r="G70" s="5"/>
    </row>
    <row r="71" spans="2:7" x14ac:dyDescent="0.2">
      <c r="B71" s="1" t="s">
        <v>109</v>
      </c>
      <c r="D71" s="17"/>
      <c r="E71" s="17"/>
      <c r="F71" s="17"/>
      <c r="G71" s="5"/>
    </row>
    <row r="72" spans="2:7" x14ac:dyDescent="0.2">
      <c r="D72" s="17"/>
      <c r="G72" s="5"/>
    </row>
    <row r="73" spans="2:7" ht="19.2" x14ac:dyDescent="0.55000000000000004">
      <c r="D73" s="71"/>
      <c r="E73" s="71"/>
      <c r="F73" s="71"/>
      <c r="G73" s="65"/>
    </row>
    <row r="74" spans="2:7" ht="21.6" x14ac:dyDescent="0.2">
      <c r="B74" s="29" t="s">
        <v>32</v>
      </c>
      <c r="C74" s="8"/>
      <c r="D74" s="68" t="s">
        <v>46</v>
      </c>
      <c r="E74" s="68"/>
      <c r="F74" s="68"/>
      <c r="G74" s="69"/>
    </row>
    <row r="75" spans="2:7" ht="21.6" x14ac:dyDescent="0.55000000000000004">
      <c r="B75" s="29"/>
      <c r="C75" s="8"/>
      <c r="D75" s="65" t="s">
        <v>110</v>
      </c>
      <c r="E75" s="65"/>
      <c r="F75" s="65"/>
      <c r="G75" s="65"/>
    </row>
    <row r="76" spans="2:7" ht="21.6" customHeight="1" x14ac:dyDescent="0.55000000000000004">
      <c r="B76" s="29"/>
      <c r="C76" s="8"/>
      <c r="D76" s="37"/>
      <c r="G76" s="63"/>
    </row>
    <row r="77" spans="2:7" ht="23.4" customHeight="1" x14ac:dyDescent="0.2">
      <c r="B77" s="10" t="s">
        <v>1</v>
      </c>
      <c r="C77" s="10" t="s">
        <v>2</v>
      </c>
      <c r="D77" s="18" t="s">
        <v>3</v>
      </c>
      <c r="G77" s="63"/>
    </row>
    <row r="78" spans="2:7" ht="40.799999999999997" customHeight="1" x14ac:dyDescent="0.2">
      <c r="B78" s="9" t="str">
        <f>VLOOKUP(J28&amp;"dtc-v",OS選択シート!C:E,2,FALSE)</f>
        <v>UL1908-01A</v>
      </c>
      <c r="C78" s="11" t="str">
        <f>VLOOKUP(J28&amp;"dtc-v",OS選択シート!C:E,3,FALSE)</f>
        <v>仮想環境用Windows Server 2025 セット(Datacenter(16Core))</v>
      </c>
      <c r="D78" s="22">
        <f>IF(B78="","",IF(CPU&gt;=1,1,0))</f>
        <v>1</v>
      </c>
      <c r="G78" s="63"/>
    </row>
    <row r="79" spans="2:7" ht="43.2" customHeight="1" x14ac:dyDescent="0.2">
      <c r="B79" s="9" t="str">
        <f>VLOOKUP(J28&amp;"追加ライセンス(2core)dtc",OS選択シート!C:E,2,FALSE)</f>
        <v>UL1908-012</v>
      </c>
      <c r="C79" s="11" t="str">
        <f>VLOOKUP(J28&amp;"追加ライセンス(2core)dtc",OS選択シート!C:E,3,FALSE)</f>
        <v>Windows Server 2025 Datacenter 追加ライセンス(2Core)</v>
      </c>
      <c r="D79" s="22">
        <f>IF(B78="","",IF(CPU_Core&gt;16,
IF(MOD(CPU_Core,16)-(D80*4)&lt;=2,
IF(MOD(CPU_Core,16)-(D80*4)&gt;=1,1,0),0),0))</f>
        <v>0</v>
      </c>
      <c r="G79" s="63"/>
    </row>
    <row r="80" spans="2:7" ht="39.9" customHeight="1" x14ac:dyDescent="0.2">
      <c r="B80" s="9" t="str">
        <f>VLOOKUP(J28&amp;"追加ライセンス(4core)dtc",OS選択シート!C:E,2,FALSE)</f>
        <v>UL1908-013</v>
      </c>
      <c r="C80" s="11" t="str">
        <f>VLOOKUP(J28&amp;"追加ライセンス(4core)dtc",OS選択シート!C:E,3,FALSE)</f>
        <v>Windows Server 2025 Datacenter 追加ライセンス(4Core)</v>
      </c>
      <c r="D80" s="22">
        <f>IF(B78="","",IF(CPU_Core&gt;16,IF(MOD(CPU_Core,16)&lt;=14,
IF(MOD(CPU_Core,4)&gt;=3,
ROUNDUP(MOD(CPU_Core,16)/4,0),
ROUNDDOWN(MOD(CPU_Core,16)/4,0)),0),0))</f>
        <v>0</v>
      </c>
      <c r="G80" s="63"/>
    </row>
    <row r="81" spans="2:8" ht="39.9" customHeight="1" x14ac:dyDescent="0.2">
      <c r="B81" s="9" t="str">
        <f>VLOOKUP(J28&amp;"追加ライセンス(16core)dtc",OS選択シート!C:E,2,FALSE)</f>
        <v>UL1908-014</v>
      </c>
      <c r="C81" s="11" t="str">
        <f>VLOOKUP(J28&amp;"追加ライセンス(16core)dtc",OS選択シート!C:E,3,FALSE)</f>
        <v>Windows Server 2025 Datacenter 追加ライセンス(16Core)</v>
      </c>
      <c r="D81" s="22">
        <f>IF(B78="","",IF((ROUNDDOWN((CPU_Core)/16,0)-1)&gt;=1,(ROUNDDOWN((CPU_Core)/16,0)-1),0)+IF(MOD(CPU_Core,16)&gt;=15,1,0))</f>
        <v>0</v>
      </c>
      <c r="G81" s="52"/>
    </row>
    <row r="82" spans="2:8" ht="39.9" customHeight="1" x14ac:dyDescent="0.2">
      <c r="B82" s="1" t="s">
        <v>109</v>
      </c>
    </row>
    <row r="85" spans="2:8" ht="19.2" x14ac:dyDescent="0.2">
      <c r="B85" s="42" t="s">
        <v>47</v>
      </c>
      <c r="C85" s="42"/>
      <c r="D85" s="42"/>
      <c r="E85" s="42"/>
      <c r="F85" s="42"/>
    </row>
    <row r="86" spans="2:8" ht="19.2" x14ac:dyDescent="0.2">
      <c r="B86" s="43" t="s">
        <v>111</v>
      </c>
      <c r="C86" s="42"/>
      <c r="D86" s="42"/>
      <c r="E86" s="42"/>
      <c r="F86" s="42"/>
      <c r="G86" s="8"/>
      <c r="H86" s="61"/>
    </row>
    <row r="87" spans="2:8" ht="19.2" x14ac:dyDescent="0.2">
      <c r="B87" s="34"/>
      <c r="C87" s="34"/>
      <c r="D87" s="34"/>
      <c r="E87" s="34"/>
      <c r="F87" s="34"/>
    </row>
    <row r="88" spans="2:8" ht="19.2" x14ac:dyDescent="0.2">
      <c r="B88" s="42" t="s">
        <v>48</v>
      </c>
      <c r="C88" s="42"/>
      <c r="D88" s="42"/>
      <c r="E88" s="42"/>
      <c r="F88" s="42"/>
    </row>
    <row r="89" spans="2:8" ht="19.2" x14ac:dyDescent="0.2">
      <c r="B89" s="34" t="s">
        <v>49</v>
      </c>
      <c r="C89" s="34"/>
      <c r="D89" s="34"/>
      <c r="E89" s="34"/>
      <c r="F89" s="34"/>
    </row>
    <row r="90" spans="2:8" ht="19.2" x14ac:dyDescent="0.2">
      <c r="B90" s="34"/>
      <c r="C90" s="34"/>
      <c r="D90" s="34"/>
      <c r="E90" s="34"/>
      <c r="F90" s="34"/>
    </row>
  </sheetData>
  <sheetProtection algorithmName="SHA-512" hashValue="G0gG6NPtEw88UyeScAoMSVBtqEvgmye70QvKrkUqv60HNUKGJ2x1ch3q54whb/fwdPaXThO8LQzroYwpcqfJ1Q==" saltValue="nLc9CHfZtk7ZVUmgVggMSQ==" spinCount="100000" sheet="1" objects="1" scenarios="1"/>
  <mergeCells count="9">
    <mergeCell ref="D75:G75"/>
    <mergeCell ref="B21:H21"/>
    <mergeCell ref="B18:G18"/>
    <mergeCell ref="D74:G74"/>
    <mergeCell ref="B20:H20"/>
    <mergeCell ref="D53:G53"/>
    <mergeCell ref="D73:G73"/>
    <mergeCell ref="D27:G27"/>
    <mergeCell ref="B19:H19"/>
  </mergeCells>
  <phoneticPr fontId="2"/>
  <dataValidations count="4">
    <dataValidation type="list" allowBlank="1" showInputMessage="1" showErrorMessage="1" error="リストから選択してください。入力できる数字は1〜4までです" sqref="D30" xr:uid="{00000000-0002-0000-0000-000000000000}">
      <formula1>"1,2,3,4"</formula1>
    </dataValidation>
    <dataValidation type="whole" operator="greaterThanOrEqual" allowBlank="1" showInputMessage="1" showErrorMessage="1" error="1以上の整数を入れてください" sqref="D31" xr:uid="{00000000-0002-0000-0000-000001000000}">
      <formula1>1</formula1>
    </dataValidation>
    <dataValidation type="whole" operator="greaterThanOrEqual" allowBlank="1" showInputMessage="1" showErrorMessage="1" error="0以上の整数を入れてください" sqref="D32 D39:D40" xr:uid="{00000000-0002-0000-0000-000002000000}">
      <formula1>0</formula1>
    </dataValidation>
    <dataValidation type="list" operator="greaterThanOrEqual" showInputMessage="1" showErrorMessage="1" error="0以上の整数を入れてください" sqref="D27:G27" xr:uid="{EE2F11EA-2CD4-48B8-9BD4-4F4A3F181D7D}">
      <formula1>"Windows Server 2025,Windows Server 2025から2022へのダウングレード,Windows Server 2025から2019へのダウングレード"</formula1>
    </dataValidation>
  </dataValidations>
  <hyperlinks>
    <hyperlink ref="D75" r:id="rId1" xr:uid="{00000000-0004-0000-0000-000004000000}"/>
    <hyperlink ref="D75:G75" r:id="rId2" display="https://jpn.nec.com/windowsserver/2025/lineup.html" xr:uid="{00000000-0004-0000-0000-000005000000}"/>
    <hyperlink ref="B86" r:id="rId3" xr:uid="{00000000-0004-0000-0000-000008000000}"/>
    <hyperlink ref="B89" r:id="rId4" xr:uid="{00000000-0004-0000-0000-00000C000000}"/>
    <hyperlink ref="B19:H19" location="構成フォーム!B90" display="ライセンスの考え方につきましては、下記webサイトをご覧ください。" xr:uid="{460B5D80-2327-4391-8EA7-62102120D081}"/>
  </hyperlinks>
  <pageMargins left="0.98425196850393704" right="0.74803149606299213" top="0.39370078740157483" bottom="0.39370078740157483" header="0.51181102362204722" footer="0.51181102362204722"/>
  <pageSetup paperSize="9" scale="36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21"/>
  <sheetViews>
    <sheetView topLeftCell="B1" workbookViewId="0">
      <selection activeCell="E28" sqref="E28"/>
    </sheetView>
  </sheetViews>
  <sheetFormatPr defaultRowHeight="13.2" x14ac:dyDescent="0.2"/>
  <cols>
    <col min="3" max="3" width="59.6640625" customWidth="1"/>
    <col min="4" max="4" width="14.33203125" bestFit="1" customWidth="1"/>
    <col min="5" max="5" width="73.88671875" customWidth="1"/>
  </cols>
  <sheetData>
    <row r="3" spans="3:5" x14ac:dyDescent="0.2">
      <c r="C3" t="s">
        <v>26</v>
      </c>
    </row>
    <row r="5" spans="3:5" x14ac:dyDescent="0.2">
      <c r="C5" s="27" t="s">
        <v>27</v>
      </c>
      <c r="D5" s="27" t="s">
        <v>1</v>
      </c>
      <c r="E5" s="27" t="s">
        <v>28</v>
      </c>
    </row>
    <row r="6" spans="3:5" x14ac:dyDescent="0.2">
      <c r="C6" s="47" t="s">
        <v>91</v>
      </c>
      <c r="D6" s="47" t="s">
        <v>59</v>
      </c>
      <c r="E6" s="47" t="s">
        <v>60</v>
      </c>
    </row>
    <row r="7" spans="3:5" x14ac:dyDescent="0.2">
      <c r="C7" s="47" t="s">
        <v>102</v>
      </c>
      <c r="D7" s="47" t="s">
        <v>61</v>
      </c>
      <c r="E7" s="47" t="s">
        <v>62</v>
      </c>
    </row>
    <row r="8" spans="3:5" x14ac:dyDescent="0.2">
      <c r="C8" s="47" t="s">
        <v>92</v>
      </c>
      <c r="D8" s="47" t="s">
        <v>63</v>
      </c>
      <c r="E8" s="47" t="s">
        <v>64</v>
      </c>
    </row>
    <row r="9" spans="3:5" x14ac:dyDescent="0.2">
      <c r="C9" s="47" t="s">
        <v>93</v>
      </c>
      <c r="D9" s="47" t="s">
        <v>65</v>
      </c>
      <c r="E9" s="47" t="s">
        <v>66</v>
      </c>
    </row>
    <row r="10" spans="3:5" x14ac:dyDescent="0.2">
      <c r="C10" s="47" t="s">
        <v>94</v>
      </c>
      <c r="D10" s="47" t="s">
        <v>67</v>
      </c>
      <c r="E10" s="47" t="s">
        <v>68</v>
      </c>
    </row>
    <row r="11" spans="3:5" x14ac:dyDescent="0.2">
      <c r="C11" s="47" t="s">
        <v>95</v>
      </c>
      <c r="D11" s="47" t="s">
        <v>69</v>
      </c>
      <c r="E11" s="47" t="s">
        <v>70</v>
      </c>
    </row>
    <row r="12" spans="3:5" x14ac:dyDescent="0.2">
      <c r="C12" s="47" t="s">
        <v>96</v>
      </c>
      <c r="D12" s="47" t="s">
        <v>71</v>
      </c>
      <c r="E12" s="47" t="s">
        <v>72</v>
      </c>
    </row>
    <row r="13" spans="3:5" x14ac:dyDescent="0.2">
      <c r="C13" s="48" t="s">
        <v>100</v>
      </c>
      <c r="D13" s="48" t="s">
        <v>73</v>
      </c>
      <c r="E13" s="48" t="s">
        <v>74</v>
      </c>
    </row>
    <row r="14" spans="3:5" x14ac:dyDescent="0.2">
      <c r="C14" s="48" t="s">
        <v>97</v>
      </c>
      <c r="D14" s="48" t="s">
        <v>75</v>
      </c>
      <c r="E14" s="48" t="s">
        <v>76</v>
      </c>
    </row>
    <row r="15" spans="3:5" x14ac:dyDescent="0.2">
      <c r="C15" s="48" t="s">
        <v>98</v>
      </c>
      <c r="D15" s="48" t="s">
        <v>77</v>
      </c>
      <c r="E15" s="48" t="s">
        <v>78</v>
      </c>
    </row>
    <row r="16" spans="3:5" x14ac:dyDescent="0.2">
      <c r="C16" s="48" t="s">
        <v>99</v>
      </c>
      <c r="D16" s="48" t="s">
        <v>79</v>
      </c>
      <c r="E16" s="48" t="s">
        <v>80</v>
      </c>
    </row>
    <row r="17" spans="3:5" x14ac:dyDescent="0.2">
      <c r="C17" s="49" t="s">
        <v>101</v>
      </c>
      <c r="D17" s="49" t="s">
        <v>81</v>
      </c>
      <c r="E17" s="49" t="s">
        <v>82</v>
      </c>
    </row>
    <row r="18" spans="3:5" x14ac:dyDescent="0.2">
      <c r="C18" s="50" t="s">
        <v>105</v>
      </c>
      <c r="D18" s="50" t="s">
        <v>83</v>
      </c>
      <c r="E18" s="50" t="s">
        <v>84</v>
      </c>
    </row>
    <row r="19" spans="3:5" x14ac:dyDescent="0.2">
      <c r="C19" s="50" t="s">
        <v>106</v>
      </c>
      <c r="D19" s="50" t="s">
        <v>89</v>
      </c>
      <c r="E19" s="50" t="s">
        <v>90</v>
      </c>
    </row>
    <row r="20" spans="3:5" x14ac:dyDescent="0.2">
      <c r="C20" s="50" t="s">
        <v>103</v>
      </c>
      <c r="D20" s="50" t="s">
        <v>85</v>
      </c>
      <c r="E20" s="50" t="s">
        <v>86</v>
      </c>
    </row>
    <row r="21" spans="3:5" x14ac:dyDescent="0.2">
      <c r="C21" s="50" t="s">
        <v>104</v>
      </c>
      <c r="D21" s="50" t="s">
        <v>87</v>
      </c>
      <c r="E21" s="50" t="s">
        <v>88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1"/>
  <sheetViews>
    <sheetView topLeftCell="A10" workbookViewId="0">
      <selection activeCell="C24" sqref="C24"/>
    </sheetView>
  </sheetViews>
  <sheetFormatPr defaultRowHeight="13.2" x14ac:dyDescent="0.2"/>
  <cols>
    <col min="1" max="1" width="15.21875" customWidth="1"/>
    <col min="2" max="2" width="40" customWidth="1"/>
  </cols>
  <sheetData>
    <row r="1" spans="1:2" x14ac:dyDescent="0.2">
      <c r="A1" t="s">
        <v>18</v>
      </c>
    </row>
    <row r="4" spans="1:2" x14ac:dyDescent="0.2">
      <c r="A4" s="40" t="s">
        <v>19</v>
      </c>
      <c r="B4" s="40" t="s">
        <v>20</v>
      </c>
    </row>
    <row r="5" spans="1:2" x14ac:dyDescent="0.2">
      <c r="A5" s="26">
        <v>1</v>
      </c>
      <c r="B5" s="25" t="s">
        <v>22</v>
      </c>
    </row>
    <row r="6" spans="1:2" x14ac:dyDescent="0.2">
      <c r="A6" s="25">
        <v>1.01</v>
      </c>
      <c r="B6" s="25" t="s">
        <v>21</v>
      </c>
    </row>
    <row r="7" spans="1:2" x14ac:dyDescent="0.2">
      <c r="A7" s="25">
        <v>1.02</v>
      </c>
      <c r="B7" s="25" t="s">
        <v>23</v>
      </c>
    </row>
    <row r="8" spans="1:2" ht="52.8" x14ac:dyDescent="0.2">
      <c r="A8" s="30">
        <v>1.1000000000000001</v>
      </c>
      <c r="B8" s="31" t="s">
        <v>35</v>
      </c>
    </row>
    <row r="9" spans="1:2" ht="26.4" x14ac:dyDescent="0.2">
      <c r="A9" s="30">
        <v>1.2</v>
      </c>
      <c r="B9" s="31" t="s">
        <v>37</v>
      </c>
    </row>
    <row r="10" spans="1:2" ht="39.6" x14ac:dyDescent="0.2">
      <c r="A10" s="30">
        <v>1.3</v>
      </c>
      <c r="B10" s="31" t="s">
        <v>38</v>
      </c>
    </row>
    <row r="11" spans="1:2" ht="39.6" x14ac:dyDescent="0.2">
      <c r="A11" s="30">
        <v>1.4</v>
      </c>
      <c r="B11" s="31" t="s">
        <v>41</v>
      </c>
    </row>
    <row r="12" spans="1:2" ht="26.4" x14ac:dyDescent="0.2">
      <c r="A12" s="30">
        <v>1.41</v>
      </c>
      <c r="B12" s="31" t="s">
        <v>42</v>
      </c>
    </row>
    <row r="13" spans="1:2" ht="39.6" x14ac:dyDescent="0.2">
      <c r="A13" s="30">
        <v>1.5</v>
      </c>
      <c r="B13" s="31" t="s">
        <v>44</v>
      </c>
    </row>
    <row r="14" spans="1:2" x14ac:dyDescent="0.2">
      <c r="A14" s="30">
        <v>1.6</v>
      </c>
      <c r="B14" s="31" t="s">
        <v>45</v>
      </c>
    </row>
    <row r="15" spans="1:2" x14ac:dyDescent="0.2">
      <c r="A15" s="30">
        <v>1.7</v>
      </c>
      <c r="B15" s="31" t="s">
        <v>51</v>
      </c>
    </row>
    <row r="16" spans="1:2" x14ac:dyDescent="0.2">
      <c r="A16" s="30">
        <v>1.8</v>
      </c>
      <c r="B16" s="31" t="s">
        <v>52</v>
      </c>
    </row>
    <row r="17" spans="1:2" x14ac:dyDescent="0.2">
      <c r="A17" s="30">
        <v>1.9</v>
      </c>
      <c r="B17" s="31" t="s">
        <v>52</v>
      </c>
    </row>
    <row r="18" spans="1:2" x14ac:dyDescent="0.2">
      <c r="A18" s="39" t="s">
        <v>54</v>
      </c>
      <c r="B18" s="31" t="s">
        <v>55</v>
      </c>
    </row>
    <row r="19" spans="1:2" ht="26.4" x14ac:dyDescent="0.2">
      <c r="A19" s="30">
        <v>2.1</v>
      </c>
      <c r="B19" s="31" t="s">
        <v>56</v>
      </c>
    </row>
    <row r="20" spans="1:2" x14ac:dyDescent="0.2">
      <c r="A20" s="25">
        <v>2.2000000000000002</v>
      </c>
      <c r="B20" s="41" t="s">
        <v>57</v>
      </c>
    </row>
    <row r="21" spans="1:2" x14ac:dyDescent="0.2">
      <c r="A21" s="51">
        <v>3</v>
      </c>
      <c r="B21" s="31" t="s">
        <v>112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構成フォーム</vt:lpstr>
      <vt:lpstr>OS選択シート</vt:lpstr>
      <vt:lpstr>更新履歴</vt:lpstr>
      <vt:lpstr>core</vt:lpstr>
      <vt:lpstr>core_16</vt:lpstr>
      <vt:lpstr>core_adj</vt:lpstr>
      <vt:lpstr>core_calc</vt:lpstr>
      <vt:lpstr>CPU</vt:lpstr>
      <vt:lpstr>CPU_Core</vt:lpstr>
      <vt:lpstr>CPUxCore</vt:lpstr>
      <vt:lpstr>guest</vt:lpstr>
      <vt:lpstr>構成フォーム!Print_Area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2016-12-09T05:57:50Z</dcterms:created>
  <dcterms:modified xsi:type="dcterms:W3CDTF">2025-01-31T00:25:22Z</dcterms:modified>
</cp:coreProperties>
</file>